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montes\OneDrive - Pugh Lubricants, Llc\Desktop\WebsiteImprovement\Blogs\FleetTracking\"/>
    </mc:Choice>
  </mc:AlternateContent>
  <xr:revisionPtr revIDLastSave="0" documentId="13_ncr:1_{312ECC1F-B6CC-40F8-8852-02FBE0862B8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How to Use" sheetId="3" r:id="rId1"/>
    <sheet name="Assumptions" sheetId="1" r:id="rId2"/>
    <sheet name="Calculations" sheetId="2" r:id="rId3"/>
    <sheet name="Sensitivity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4" l="1"/>
  <c r="I5" i="4"/>
  <c r="H5" i="4"/>
  <c r="F5" i="4"/>
  <c r="G5" i="4" s="1"/>
  <c r="K5" i="4" s="1"/>
  <c r="D5" i="4"/>
  <c r="E5" i="4" s="1"/>
  <c r="C5" i="4"/>
  <c r="B5" i="4"/>
  <c r="J4" i="4"/>
  <c r="I4" i="4"/>
  <c r="H4" i="4"/>
  <c r="F4" i="4"/>
  <c r="G4" i="4" s="1"/>
  <c r="K4" i="4" s="1"/>
  <c r="D4" i="4"/>
  <c r="C4" i="4"/>
  <c r="B4" i="4"/>
  <c r="E4" i="4" s="1"/>
  <c r="J3" i="4"/>
  <c r="I3" i="4"/>
  <c r="H3" i="4"/>
  <c r="F3" i="4"/>
  <c r="G3" i="4" s="1"/>
  <c r="K3" i="4" s="1"/>
  <c r="D3" i="4"/>
  <c r="C3" i="4"/>
  <c r="B3" i="4"/>
  <c r="E3" i="4" s="1"/>
  <c r="B11" i="2"/>
  <c r="B10" i="2"/>
  <c r="B9" i="2"/>
  <c r="B7" i="2"/>
  <c r="B8" i="2" s="1"/>
  <c r="B12" i="2" s="1"/>
  <c r="B13" i="2" s="1"/>
  <c r="B15" i="2" s="1"/>
  <c r="B5" i="2"/>
  <c r="B4" i="2"/>
  <c r="B14" i="2" s="1"/>
  <c r="B3" i="2"/>
  <c r="B6" i="2" s="1"/>
  <c r="L4" i="4" l="1"/>
  <c r="N4" i="4" s="1"/>
  <c r="L5" i="4"/>
  <c r="N5" i="4" s="1"/>
  <c r="L3" i="4"/>
  <c r="N3" i="4" s="1"/>
  <c r="M4" i="4" l="1"/>
  <c r="M3" i="4"/>
  <c r="M5" i="4"/>
</calcChain>
</file>

<file path=xl/sharedStrings.xml><?xml version="1.0" encoding="utf-8"?>
<sst xmlns="http://schemas.openxmlformats.org/spreadsheetml/2006/main" count="55" uniqueCount="54">
  <si>
    <t>Fleet size (vehicles)</t>
  </si>
  <si>
    <t>Monthly service cost per vehicle ($)</t>
  </si>
  <si>
    <t>Hardware cost per vehicle ($) - one-time</t>
  </si>
  <si>
    <t>Hardware amortization (years)</t>
  </si>
  <si>
    <t>Annual fuel spend per vehicle ($)</t>
  </si>
  <si>
    <t>Annual maintenance cost per vehicle ($)</t>
  </si>
  <si>
    <t>Default fuel savings (%) - Likely</t>
  </si>
  <si>
    <t>Default maintenance savings (%) - Likely</t>
  </si>
  <si>
    <t>Estimated annual accident/insurance savings (fleet total $)</t>
  </si>
  <si>
    <t>Worst Case - Fuel savings (%)</t>
  </si>
  <si>
    <t>Worst Case - Maintenance savings (%)</t>
  </si>
  <si>
    <t>Likely Case - Fuel savings (%)</t>
  </si>
  <si>
    <t>Likely Case - Maintenance savings (%)</t>
  </si>
  <si>
    <t>Best Case - Fuel savings (%)</t>
  </si>
  <si>
    <t>Best Case - Maintenance savings (%)</t>
  </si>
  <si>
    <t>Notes:</t>
  </si>
  <si>
    <t>Edit these controls to update Sensitivity analysis.</t>
  </si>
  <si>
    <t>Annual tracking service cost ($)</t>
  </si>
  <si>
    <t>Total hardware cost ($)</t>
  </si>
  <si>
    <t>Annualized hardware cost ($/year)</t>
  </si>
  <si>
    <t>Total annual cost (service + annualized hardware) ($)</t>
  </si>
  <si>
    <t>Fleet annual fuel spend ($)</t>
  </si>
  <si>
    <t>Estimated fuel savings ($) - Likely</t>
  </si>
  <si>
    <t>Fleet annual maintenance spend ($)</t>
  </si>
  <si>
    <t>Estimated maintenance savings ($) - Likely</t>
  </si>
  <si>
    <t>Accident/insurance savings (fleet total $)</t>
  </si>
  <si>
    <t>Total estimated annual savings ($)</t>
  </si>
  <si>
    <t>Net annual benefit (savings - cost) ($)</t>
  </si>
  <si>
    <t>ROI (%)</t>
  </si>
  <si>
    <t>Payback period (months)</t>
  </si>
  <si>
    <t>This workbook contains Assumptions, Calculations and Sensitivity analysis.</t>
  </si>
  <si>
    <t>Edit the Assumptions sheet, including the Worst/Likely/Best scenario controls, to update the Sensitivity outputs.</t>
  </si>
  <si>
    <t>Use the Calculations sheet for a likely-case one-line summary.</t>
  </si>
  <si>
    <t>Sensitivity sheet auto-updates when you change scenario percentages in Assumptions.</t>
  </si>
  <si>
    <t>Scenario</t>
  </si>
  <si>
    <t>Annual Service Cost</t>
  </si>
  <si>
    <t>Total Hardware Cost</t>
  </si>
  <si>
    <t>Annualized Hardware Cost</t>
  </si>
  <si>
    <t>Total Annual Cost</t>
  </si>
  <si>
    <t>Fleet Annual Fuel Spend</t>
  </si>
  <si>
    <t>Fuel Savings</t>
  </si>
  <si>
    <t>Fleet Annual Maint Spend</t>
  </si>
  <si>
    <t>Maintenance Savings</t>
  </si>
  <si>
    <t>Accident/Insurance Savings</t>
  </si>
  <si>
    <t>Total Estimated Annual Savings</t>
  </si>
  <si>
    <t>Net Annual Benefit</t>
  </si>
  <si>
    <t>ROI</t>
  </si>
  <si>
    <t>Payback Months</t>
  </si>
  <si>
    <t>Worst Case</t>
  </si>
  <si>
    <t>Likely Case</t>
  </si>
  <si>
    <t>Best Case</t>
  </si>
  <si>
    <t>HOW TO USE</t>
  </si>
  <si>
    <t>FLEET ROI CALCULATOR</t>
  </si>
  <si>
    <t>SENSITIVITY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</si>
</sst>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rgb="FFBFD245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BFD245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rgb="FF123E4E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23E4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D2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0" fillId="3" borderId="0" xfId="0" applyFill="1"/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3" borderId="0" xfId="0" applyFont="1" applyFill="1"/>
    <xf numFmtId="0" fontId="3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23E4E"/>
      <color rgb="FFBFD245"/>
      <color rgb="FF123E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adencepetroleum.com/solutions/fleet-management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adencepetroleum.com/solutions/fleet-management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adencepetroleum.com/solutions/fleet-management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cadencepetroleum.com/solutions/fleet-management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6</xdr:row>
      <xdr:rowOff>142875</xdr:rowOff>
    </xdr:from>
    <xdr:to>
      <xdr:col>3</xdr:col>
      <xdr:colOff>171450</xdr:colOff>
      <xdr:row>14</xdr:row>
      <xdr:rowOff>47625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ECB13E-C949-AAA3-6B4D-CD84986EA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190750"/>
          <a:ext cx="4762500" cy="1428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9525</xdr:rowOff>
    </xdr:from>
    <xdr:to>
      <xdr:col>1</xdr:col>
      <xdr:colOff>381000</xdr:colOff>
      <xdr:row>31</xdr:row>
      <xdr:rowOff>104775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B3F8DA-99C6-4DCF-8A35-13E4C62B9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91300"/>
          <a:ext cx="4762500" cy="1428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47625</xdr:rowOff>
    </xdr:from>
    <xdr:to>
      <xdr:col>2</xdr:col>
      <xdr:colOff>123825</xdr:colOff>
      <xdr:row>25</xdr:row>
      <xdr:rowOff>142875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A8586C-0479-4F41-A942-16FA25A5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62550"/>
          <a:ext cx="4762500" cy="1428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9</xdr:row>
      <xdr:rowOff>142875</xdr:rowOff>
    </xdr:from>
    <xdr:to>
      <xdr:col>2</xdr:col>
      <xdr:colOff>1304925</xdr:colOff>
      <xdr:row>17</xdr:row>
      <xdr:rowOff>47625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7B4122-481B-493B-BE93-300C361D6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543175"/>
          <a:ext cx="4762500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>
      <selection activeCell="B32" sqref="B32"/>
    </sheetView>
  </sheetViews>
  <sheetFormatPr defaultRowHeight="15" x14ac:dyDescent="0.25"/>
  <cols>
    <col min="1" max="1" width="30" customWidth="1"/>
    <col min="2" max="14" width="20" customWidth="1"/>
  </cols>
  <sheetData>
    <row r="1" spans="1:1" ht="42" customHeight="1" x14ac:dyDescent="0.25">
      <c r="A1" s="1" t="s">
        <v>51</v>
      </c>
    </row>
    <row r="3" spans="1:1" s="4" customFormat="1" ht="20.25" customHeight="1" x14ac:dyDescent="0.25">
      <c r="A3" s="5" t="s">
        <v>30</v>
      </c>
    </row>
    <row r="4" spans="1:1" ht="30.75" customHeight="1" x14ac:dyDescent="0.25">
      <c r="A4" s="6" t="s">
        <v>31</v>
      </c>
    </row>
    <row r="5" spans="1:1" s="4" customFormat="1" ht="25.5" customHeight="1" x14ac:dyDescent="0.25">
      <c r="A5" s="5" t="s">
        <v>32</v>
      </c>
    </row>
    <row r="6" spans="1:1" ht="27.75" customHeight="1" x14ac:dyDescent="0.25">
      <c r="A6" s="6" t="s">
        <v>33</v>
      </c>
    </row>
  </sheetData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>
      <selection activeCell="B5" sqref="B5"/>
    </sheetView>
  </sheetViews>
  <sheetFormatPr defaultRowHeight="15" x14ac:dyDescent="0.25"/>
  <cols>
    <col min="1" max="1" width="65.7109375" customWidth="1"/>
    <col min="2" max="2" width="66" customWidth="1"/>
    <col min="3" max="14" width="20" customWidth="1"/>
  </cols>
  <sheetData>
    <row r="1" spans="1:2" ht="45.75" customHeight="1" x14ac:dyDescent="0.25">
      <c r="A1" s="7" t="s">
        <v>52</v>
      </c>
    </row>
    <row r="3" spans="1:2" s="4" customFormat="1" ht="22.5" customHeight="1" x14ac:dyDescent="0.3">
      <c r="A3" s="12" t="s">
        <v>0</v>
      </c>
      <c r="B3" s="8">
        <v>50</v>
      </c>
    </row>
    <row r="4" spans="1:2" ht="22.5" customHeight="1" x14ac:dyDescent="0.3">
      <c r="A4" s="13" t="s">
        <v>1</v>
      </c>
      <c r="B4" s="9">
        <v>25</v>
      </c>
    </row>
    <row r="5" spans="1:2" s="4" customFormat="1" ht="22.5" customHeight="1" x14ac:dyDescent="0.3">
      <c r="A5" s="12" t="s">
        <v>2</v>
      </c>
      <c r="B5" s="8">
        <v>150</v>
      </c>
    </row>
    <row r="6" spans="1:2" ht="22.5" customHeight="1" x14ac:dyDescent="0.3">
      <c r="A6" s="13" t="s">
        <v>3</v>
      </c>
      <c r="B6" s="9">
        <v>5</v>
      </c>
    </row>
    <row r="7" spans="1:2" s="4" customFormat="1" ht="22.5" customHeight="1" x14ac:dyDescent="0.3">
      <c r="A7" s="12" t="s">
        <v>4</v>
      </c>
      <c r="B7" s="8">
        <v>10000</v>
      </c>
    </row>
    <row r="8" spans="1:2" ht="22.5" customHeight="1" x14ac:dyDescent="0.3">
      <c r="A8" s="13" t="s">
        <v>5</v>
      </c>
      <c r="B8" s="9">
        <v>2000</v>
      </c>
    </row>
    <row r="9" spans="1:2" s="4" customFormat="1" ht="22.5" customHeight="1" x14ac:dyDescent="0.3">
      <c r="A9" s="12" t="s">
        <v>6</v>
      </c>
      <c r="B9" s="8">
        <v>8</v>
      </c>
    </row>
    <row r="10" spans="1:2" ht="22.5" customHeight="1" x14ac:dyDescent="0.3">
      <c r="A10" s="13" t="s">
        <v>7</v>
      </c>
      <c r="B10" s="9">
        <v>10</v>
      </c>
    </row>
    <row r="11" spans="1:2" s="4" customFormat="1" ht="22.5" customHeight="1" x14ac:dyDescent="0.3">
      <c r="A11" s="12" t="s">
        <v>8</v>
      </c>
      <c r="B11" s="8">
        <v>7500</v>
      </c>
    </row>
    <row r="12" spans="1:2" ht="18.75" x14ac:dyDescent="0.3">
      <c r="A12" s="10"/>
      <c r="B12" s="2"/>
    </row>
    <row r="13" spans="1:2" ht="22.5" customHeight="1" x14ac:dyDescent="0.3">
      <c r="A13" s="13" t="s">
        <v>9</v>
      </c>
      <c r="B13" s="9">
        <v>3</v>
      </c>
    </row>
    <row r="14" spans="1:2" s="4" customFormat="1" ht="22.5" customHeight="1" x14ac:dyDescent="0.3">
      <c r="A14" s="12" t="s">
        <v>10</v>
      </c>
      <c r="B14" s="8">
        <v>3</v>
      </c>
    </row>
    <row r="15" spans="1:2" ht="22.5" customHeight="1" x14ac:dyDescent="0.3">
      <c r="A15" s="13" t="s">
        <v>11</v>
      </c>
      <c r="B15" s="9">
        <v>8</v>
      </c>
    </row>
    <row r="16" spans="1:2" s="4" customFormat="1" ht="22.5" customHeight="1" x14ac:dyDescent="0.3">
      <c r="A16" s="12" t="s">
        <v>12</v>
      </c>
      <c r="B16" s="8">
        <v>10</v>
      </c>
    </row>
    <row r="17" spans="1:2" ht="22.5" customHeight="1" x14ac:dyDescent="0.3">
      <c r="A17" s="13" t="s">
        <v>13</v>
      </c>
      <c r="B17" s="9">
        <v>12</v>
      </c>
    </row>
    <row r="18" spans="1:2" s="4" customFormat="1" ht="22.5" customHeight="1" x14ac:dyDescent="0.3">
      <c r="A18" s="12" t="s">
        <v>14</v>
      </c>
      <c r="B18" s="8">
        <v>15</v>
      </c>
    </row>
    <row r="19" spans="1:2" ht="18.75" x14ac:dyDescent="0.3">
      <c r="A19" s="10"/>
      <c r="B19" s="2"/>
    </row>
    <row r="20" spans="1:2" s="4" customFormat="1" ht="22.5" customHeight="1" x14ac:dyDescent="0.25">
      <c r="A20" s="12" t="s">
        <v>15</v>
      </c>
      <c r="B20" s="11" t="s">
        <v>16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topLeftCell="A6" workbookViewId="0">
      <selection activeCell="A21" sqref="A21"/>
    </sheetView>
  </sheetViews>
  <sheetFormatPr defaultRowHeight="15" x14ac:dyDescent="0.25"/>
  <cols>
    <col min="1" max="1" width="49.5703125" customWidth="1"/>
    <col min="2" max="14" width="20" customWidth="1"/>
  </cols>
  <sheetData>
    <row r="1" spans="1:2" ht="50.25" customHeight="1" x14ac:dyDescent="0.25">
      <c r="A1" s="7" t="s">
        <v>52</v>
      </c>
    </row>
    <row r="3" spans="1:2" s="4" customFormat="1" ht="22.5" customHeight="1" x14ac:dyDescent="0.3">
      <c r="A3" s="15" t="s">
        <v>17</v>
      </c>
      <c r="B3" s="3">
        <f>(Assumptions!B4)*(Assumptions!B3)*12</f>
        <v>15000</v>
      </c>
    </row>
    <row r="4" spans="1:2" ht="22.5" customHeight="1" x14ac:dyDescent="0.3">
      <c r="A4" s="14" t="s">
        <v>18</v>
      </c>
      <c r="B4" s="2">
        <f>(Assumptions!B5)*(Assumptions!B3)</f>
        <v>7500</v>
      </c>
    </row>
    <row r="5" spans="1:2" s="4" customFormat="1" ht="22.5" customHeight="1" x14ac:dyDescent="0.3">
      <c r="A5" s="15" t="s">
        <v>19</v>
      </c>
      <c r="B5" s="3">
        <f>(Assumptions!B5)*(Assumptions!B3)/(Assumptions!B6)</f>
        <v>1500</v>
      </c>
    </row>
    <row r="6" spans="1:2" ht="22.5" customHeight="1" x14ac:dyDescent="0.3">
      <c r="A6" s="14" t="s">
        <v>20</v>
      </c>
      <c r="B6" s="2">
        <f>B3+B5</f>
        <v>16500</v>
      </c>
    </row>
    <row r="7" spans="1:2" s="4" customFormat="1" ht="22.5" customHeight="1" x14ac:dyDescent="0.3">
      <c r="A7" s="15" t="s">
        <v>21</v>
      </c>
      <c r="B7" s="3">
        <f>(Assumptions!B7)*(Assumptions!B3)</f>
        <v>500000</v>
      </c>
    </row>
    <row r="8" spans="1:2" ht="22.5" customHeight="1" x14ac:dyDescent="0.3">
      <c r="A8" s="14" t="s">
        <v>22</v>
      </c>
      <c r="B8" s="2">
        <f>B7*(Assumptions!B9/100)</f>
        <v>40000</v>
      </c>
    </row>
    <row r="9" spans="1:2" s="4" customFormat="1" ht="22.5" customHeight="1" x14ac:dyDescent="0.3">
      <c r="A9" s="15" t="s">
        <v>23</v>
      </c>
      <c r="B9" s="3">
        <f>(Assumptions!B8)*(Assumptions!B3)</f>
        <v>100000</v>
      </c>
    </row>
    <row r="10" spans="1:2" ht="22.5" customHeight="1" x14ac:dyDescent="0.3">
      <c r="A10" s="14" t="s">
        <v>24</v>
      </c>
      <c r="B10" s="2">
        <f>B9*(Assumptions!B10/100)</f>
        <v>10000</v>
      </c>
    </row>
    <row r="11" spans="1:2" s="4" customFormat="1" ht="22.5" customHeight="1" x14ac:dyDescent="0.3">
      <c r="A11" s="15" t="s">
        <v>25</v>
      </c>
      <c r="B11" s="3">
        <f>Assumptions!B11</f>
        <v>7500</v>
      </c>
    </row>
    <row r="12" spans="1:2" ht="22.5" customHeight="1" x14ac:dyDescent="0.3">
      <c r="A12" s="14" t="s">
        <v>26</v>
      </c>
      <c r="B12" s="2">
        <f>B8+B10+B11</f>
        <v>57500</v>
      </c>
    </row>
    <row r="13" spans="1:2" s="4" customFormat="1" ht="22.5" customHeight="1" x14ac:dyDescent="0.3">
      <c r="A13" s="15" t="s">
        <v>27</v>
      </c>
      <c r="B13" s="3">
        <f>B12-B4</f>
        <v>50000</v>
      </c>
    </row>
    <row r="14" spans="1:2" ht="22.5" customHeight="1" x14ac:dyDescent="0.3">
      <c r="A14" s="14" t="s">
        <v>28</v>
      </c>
      <c r="B14" s="2">
        <f>IF(B4&gt;0, B13/B4, "N/A")</f>
        <v>6.666666666666667</v>
      </c>
    </row>
    <row r="15" spans="1:2" s="4" customFormat="1" ht="22.5" customHeight="1" x14ac:dyDescent="0.3">
      <c r="A15" s="15" t="s">
        <v>29</v>
      </c>
      <c r="B15" s="3">
        <f>IF(B13&gt;0, (B4/B13)*12, "N/A")</f>
        <v>1.7999999999999998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workbookViewId="0">
      <selection activeCell="E18" sqref="E18"/>
    </sheetView>
  </sheetViews>
  <sheetFormatPr defaultRowHeight="15" x14ac:dyDescent="0.25"/>
  <cols>
    <col min="1" max="1" width="30" customWidth="1"/>
    <col min="2" max="2" width="24.140625" bestFit="1" customWidth="1"/>
    <col min="3" max="3" width="24.7109375" bestFit="1" customWidth="1"/>
    <col min="4" max="4" width="32" bestFit="1" customWidth="1"/>
    <col min="5" max="5" width="21.42578125" bestFit="1" customWidth="1"/>
    <col min="6" max="6" width="29.28515625" bestFit="1" customWidth="1"/>
    <col min="7" max="7" width="20" customWidth="1"/>
    <col min="8" max="8" width="31.42578125" bestFit="1" customWidth="1"/>
    <col min="9" max="9" width="25.85546875" bestFit="1" customWidth="1"/>
    <col min="10" max="10" width="33.140625" bestFit="1" customWidth="1"/>
    <col min="11" max="11" width="37.42578125" bestFit="1" customWidth="1"/>
    <col min="12" max="12" width="23.5703125" bestFit="1" customWidth="1"/>
    <col min="13" max="14" width="20" customWidth="1"/>
  </cols>
  <sheetData>
    <row r="1" spans="1:14" s="2" customFormat="1" ht="39" customHeight="1" x14ac:dyDescent="0.3">
      <c r="A1" s="16" t="s">
        <v>53</v>
      </c>
      <c r="B1" s="16"/>
      <c r="C1" s="16"/>
    </row>
    <row r="2" spans="1:14" s="18" customFormat="1" ht="22.5" customHeight="1" x14ac:dyDescent="0.25">
      <c r="A2" s="17" t="s">
        <v>34</v>
      </c>
      <c r="B2" s="17" t="s">
        <v>35</v>
      </c>
      <c r="C2" s="17" t="s">
        <v>36</v>
      </c>
      <c r="D2" s="17" t="s">
        <v>37</v>
      </c>
      <c r="E2" s="17" t="s">
        <v>38</v>
      </c>
      <c r="F2" s="17" t="s">
        <v>39</v>
      </c>
      <c r="G2" s="17" t="s">
        <v>40</v>
      </c>
      <c r="H2" s="17" t="s">
        <v>41</v>
      </c>
      <c r="I2" s="17" t="s">
        <v>42</v>
      </c>
      <c r="J2" s="17" t="s">
        <v>43</v>
      </c>
      <c r="K2" s="17" t="s">
        <v>44</v>
      </c>
      <c r="L2" s="17" t="s">
        <v>45</v>
      </c>
      <c r="M2" s="17" t="s">
        <v>46</v>
      </c>
      <c r="N2" s="17" t="s">
        <v>47</v>
      </c>
    </row>
    <row r="3" spans="1:14" s="21" customFormat="1" ht="22.5" customHeight="1" x14ac:dyDescent="0.25">
      <c r="A3" s="20" t="s">
        <v>48</v>
      </c>
      <c r="B3" s="21">
        <f>(Assumptions!B4)*(Assumptions!B3)*12</f>
        <v>15000</v>
      </c>
      <c r="C3" s="21">
        <f>(Assumptions!B5)*(Assumptions!B3)</f>
        <v>7500</v>
      </c>
      <c r="D3" s="21">
        <f>((Assumptions!B5)*(Assumptions!B3))/(Assumptions!B6)</f>
        <v>1500</v>
      </c>
      <c r="E3" s="21">
        <f>B3+D3</f>
        <v>16500</v>
      </c>
      <c r="F3" s="21">
        <f>(Assumptions!B7)*(Assumptions!B3)</f>
        <v>500000</v>
      </c>
      <c r="G3" s="21">
        <f>F3*(Assumptions!B13/100)</f>
        <v>15000</v>
      </c>
      <c r="H3" s="21">
        <f>(Assumptions!B8)*(Assumptions!B3)</f>
        <v>100000</v>
      </c>
      <c r="I3" s="21">
        <f>H3*(Assumptions!B14/100)</f>
        <v>3000</v>
      </c>
      <c r="J3" s="21">
        <f>Assumptions!B11</f>
        <v>7500</v>
      </c>
      <c r="K3" s="21">
        <f>G3+I3+J3</f>
        <v>25500</v>
      </c>
      <c r="L3" s="21">
        <f>K3-E3</f>
        <v>9000</v>
      </c>
      <c r="M3" s="21">
        <f>IF(E3&gt;0, L3/E3, "N/A")</f>
        <v>0.54545454545454541</v>
      </c>
      <c r="N3" s="21">
        <f>IF(L3&gt;0,(E3/L3)*12, "N/A")</f>
        <v>22</v>
      </c>
    </row>
    <row r="4" spans="1:14" s="18" customFormat="1" ht="22.5" customHeight="1" x14ac:dyDescent="0.25">
      <c r="A4" s="19" t="s">
        <v>49</v>
      </c>
      <c r="B4" s="18">
        <f>(Assumptions!B4)*(Assumptions!B3)*12</f>
        <v>15000</v>
      </c>
      <c r="C4" s="18">
        <f>(Assumptions!B5)*(Assumptions!B3)</f>
        <v>7500</v>
      </c>
      <c r="D4" s="18">
        <f>((Assumptions!B5)*(Assumptions!B3))/(Assumptions!B6)</f>
        <v>1500</v>
      </c>
      <c r="E4" s="18">
        <f>B4+D4</f>
        <v>16500</v>
      </c>
      <c r="F4" s="18">
        <f>(Assumptions!B7)*(Assumptions!B3)</f>
        <v>500000</v>
      </c>
      <c r="G4" s="18">
        <f>F4*(Assumptions!B15/100)</f>
        <v>40000</v>
      </c>
      <c r="H4" s="18">
        <f>(Assumptions!B8)*(Assumptions!B3)</f>
        <v>100000</v>
      </c>
      <c r="I4" s="18">
        <f>H4*(Assumptions!B16/100)</f>
        <v>10000</v>
      </c>
      <c r="J4" s="18">
        <f>Assumptions!B11</f>
        <v>7500</v>
      </c>
      <c r="K4" s="18">
        <f>G4+I4+J4</f>
        <v>57500</v>
      </c>
      <c r="L4" s="18">
        <f>K4-E4</f>
        <v>41000</v>
      </c>
      <c r="M4" s="18">
        <f>IF(E4&gt;0, L4/E4, "N/A")</f>
        <v>2.4848484848484849</v>
      </c>
      <c r="N4" s="18">
        <f>IF(L4&gt;0,(E4/L4)*12, "N/A")</f>
        <v>4.8292682926829276</v>
      </c>
    </row>
    <row r="5" spans="1:14" s="21" customFormat="1" ht="22.5" customHeight="1" x14ac:dyDescent="0.25">
      <c r="A5" s="20" t="s">
        <v>50</v>
      </c>
      <c r="B5" s="21">
        <f>(Assumptions!B4)*(Assumptions!B3)*12</f>
        <v>15000</v>
      </c>
      <c r="C5" s="21">
        <f>(Assumptions!B5)*(Assumptions!B3)</f>
        <v>7500</v>
      </c>
      <c r="D5" s="21">
        <f>((Assumptions!B5)*(Assumptions!B3))/(Assumptions!B6)</f>
        <v>1500</v>
      </c>
      <c r="E5" s="21">
        <f>B5+D5</f>
        <v>16500</v>
      </c>
      <c r="F5" s="21">
        <f>(Assumptions!B7)*(Assumptions!B3)</f>
        <v>500000</v>
      </c>
      <c r="G5" s="21">
        <f>F5*(Assumptions!B17/100)</f>
        <v>60000</v>
      </c>
      <c r="H5" s="21">
        <f>(Assumptions!B8)*(Assumptions!B3)</f>
        <v>100000</v>
      </c>
      <c r="I5" s="21">
        <f>H5*(Assumptions!B18/100)</f>
        <v>15000</v>
      </c>
      <c r="J5" s="21">
        <f>Assumptions!B11</f>
        <v>7500</v>
      </c>
      <c r="K5" s="21">
        <f>G5+I5+J5</f>
        <v>82500</v>
      </c>
      <c r="L5" s="21">
        <f>K5-E5</f>
        <v>66000</v>
      </c>
      <c r="M5" s="21">
        <f>IF(E5&gt;0, L5/E5, "N/A")</f>
        <v>4</v>
      </c>
      <c r="N5" s="21">
        <f>IF(L5&gt;0,(E5/L5)*12, "N/A")</f>
        <v>3</v>
      </c>
    </row>
  </sheetData>
  <mergeCells count="1">
    <mergeCell ref="A1:C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How to Use</vt:lpstr>
      <vt:lpstr>Assumptions</vt:lpstr>
      <vt:lpstr>Calculations</vt:lpstr>
      <vt:lpstr>Sensitivity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Christopher Montes</cp:lastModifiedBy>
  <dcterms:created xsi:type="dcterms:W3CDTF">2025-10-29T15:06:13Z</dcterms:created>
  <dcterms:modified xsi:type="dcterms:W3CDTF">2025-10-29T15:35:06Z</dcterms:modified>
</cp:coreProperties>
</file>